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" yWindow="50" windowWidth="12360" windowHeight="18470" activeTab="0"/>
  </bookViews>
  <sheets>
    <sheet name="BerrySmoothi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<sst xmlns="http://schemas.openxmlformats.org/spreadsheetml/2006/main" count="145" uniqueCount="84">
  <si>
    <t>CONTENTS</t>
  </si>
  <si>
    <t>banan, banaani</t>
  </si>
  <si>
    <t>fig, viikuna</t>
  </si>
  <si>
    <t>apricot, aprikoosi</t>
  </si>
  <si>
    <t>blueberry, metsämustikka</t>
  </si>
  <si>
    <t>lingonberry, puolukka</t>
  </si>
  <si>
    <t>granberry, karpalo</t>
  </si>
  <si>
    <t>B1</t>
  </si>
  <si>
    <t>B2</t>
  </si>
  <si>
    <t>C</t>
  </si>
  <si>
    <t>Fiber</t>
  </si>
  <si>
    <t>Gr</t>
  </si>
  <si>
    <t>A</t>
  </si>
  <si>
    <t>D</t>
  </si>
  <si>
    <t>E</t>
  </si>
  <si>
    <t>K</t>
  </si>
  <si>
    <t>B3</t>
  </si>
  <si>
    <t>B5</t>
  </si>
  <si>
    <t>B6</t>
  </si>
  <si>
    <t>B12</t>
  </si>
  <si>
    <t>O-3</t>
  </si>
  <si>
    <t>Mg</t>
  </si>
  <si>
    <t>Ca</t>
  </si>
  <si>
    <t>P</t>
  </si>
  <si>
    <t>Fe</t>
  </si>
  <si>
    <t>J</t>
  </si>
  <si>
    <t>Zn</t>
  </si>
  <si>
    <t>Se</t>
  </si>
  <si>
    <t>Karot</t>
  </si>
  <si>
    <t>Fenols</t>
  </si>
  <si>
    <t>T-orac</t>
  </si>
  <si>
    <t>dry, 2 pc</t>
  </si>
  <si>
    <t>dry, 4 pc</t>
  </si>
  <si>
    <t>4 tblsp</t>
  </si>
  <si>
    <t>2 tblsp</t>
  </si>
  <si>
    <t>1 tblsp</t>
  </si>
  <si>
    <t>med size'</t>
  </si>
  <si>
    <t>mg</t>
  </si>
  <si>
    <t>g</t>
  </si>
  <si>
    <t>mcg</t>
  </si>
  <si>
    <t>?</t>
  </si>
  <si>
    <t>mcmol</t>
  </si>
  <si>
    <t>Antiox</t>
  </si>
  <si>
    <t>mmol</t>
  </si>
  <si>
    <t>TOTAL</t>
  </si>
  <si>
    <t>Ener</t>
  </si>
  <si>
    <t>plum dry, luumu, kuiv+kivetön</t>
  </si>
  <si>
    <t>Sugar</t>
  </si>
  <si>
    <t>6 tblsp</t>
  </si>
  <si>
    <t>aronia, marja aronia</t>
  </si>
  <si>
    <t>buckthorn, tyrni</t>
  </si>
  <si>
    <t>kcal</t>
  </si>
  <si>
    <t>black current, mustaherukka</t>
  </si>
  <si>
    <t>and</t>
  </si>
  <si>
    <t>glaud berry, lakka</t>
  </si>
  <si>
    <t>linen seed, pell. sien (soaked 15 h)</t>
  </si>
  <si>
    <t>birch tree ash</t>
  </si>
  <si>
    <t>spoon</t>
  </si>
  <si>
    <t xml:space="preserve"> </t>
  </si>
  <si>
    <t>Folic a</t>
  </si>
  <si>
    <t>green tee</t>
  </si>
  <si>
    <t>2 dl</t>
  </si>
  <si>
    <t>tea spoon of gingseng powder</t>
  </si>
  <si>
    <t>pollen grains</t>
  </si>
  <si>
    <t>ganoderma lucidum extr. powder</t>
  </si>
  <si>
    <t>teaspoon of tulsa powder</t>
  </si>
  <si>
    <t>teaspoon of maca powder</t>
  </si>
  <si>
    <t>teaspoon of lucuma powder</t>
  </si>
  <si>
    <t>tablepoon of  green powder</t>
  </si>
  <si>
    <t>innonotus obliguus (Reishi) "tee"</t>
  </si>
  <si>
    <t>wild rasberry, metsävattu</t>
  </si>
  <si>
    <t>3/4 dl</t>
  </si>
  <si>
    <t>shia seed shian siem( soaked 15 h)</t>
  </si>
  <si>
    <t>HOW TO MAKE:</t>
  </si>
  <si>
    <t>HOW MUCH YOU GET</t>
  </si>
  <si>
    <t xml:space="preserve">This recepie shall make about 6 classes + one glass of valuable rinsing water from the bowl what you can drink right away. </t>
  </si>
  <si>
    <t>HOW MUCH TO EAT</t>
  </si>
  <si>
    <t>WHAT TO EAT WITH IT</t>
  </si>
  <si>
    <t xml:space="preserve">I sometimes put some nuts and a bit of organic cream into this smoothie too. </t>
  </si>
  <si>
    <t>IMPACT</t>
  </si>
  <si>
    <t xml:space="preserve">Most noticeable impact is that your intestyne starts to empthy itself 2-3 times a day which is very sound. The peristaltic motion shall activate. You also get huge amounts of nutrients. </t>
  </si>
  <si>
    <t xml:space="preserve">Put seeds to soak in warm high quality water (about 7 dl) the night before in the bowl of a strong mixer, mix with a spoon. Also soak the dried fruit in a cup. Next morning add all components together  </t>
  </si>
  <si>
    <t xml:space="preserve">and mix very well. Be sure that the seeds and all broken down to get the 40 % of nutrients of the seeds which are in the seeds. Add green tee enough to keep the liquid rotating in the bowl. </t>
  </si>
  <si>
    <t>Take 2 glasses/cups a day. One after you intestine has cleaned itself after morning drinking and the other one for the afternoon snack.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</si>
</sst>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36"/>
      <name val="Calibri"/>
      <family val="2"/>
    </font>
    <font>
      <sz val="8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7030A0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4"/>
  <sheetViews>
    <sheetView tabSelected="1" zoomScalePageLayoutView="0" workbookViewId="0" topLeftCell="A1">
      <selection activeCell="C47" sqref="C47"/>
    </sheetView>
  </sheetViews>
  <sheetFormatPr defaultColWidth="4.8515625" defaultRowHeight="15"/>
  <cols>
    <col min="1" max="1" width="23.57421875" style="1" customWidth="1"/>
    <col min="2" max="2" width="6.57421875" style="1" customWidth="1"/>
    <col min="3" max="4" width="4.421875" style="3" customWidth="1"/>
    <col min="5" max="5" width="4.140625" style="3" customWidth="1"/>
    <col min="6" max="6" width="3.8515625" style="3" customWidth="1"/>
    <col min="7" max="7" width="4.8515625" style="3" customWidth="1"/>
    <col min="8" max="18" width="3.8515625" style="3" customWidth="1"/>
    <col min="19" max="19" width="4.140625" style="3" customWidth="1"/>
    <col min="20" max="20" width="4.8515625" style="3" customWidth="1"/>
    <col min="21" max="21" width="5.57421875" style="3" customWidth="1"/>
    <col min="22" max="27" width="3.8515625" style="3" customWidth="1"/>
    <col min="28" max="28" width="4.140625" style="3" customWidth="1"/>
    <col min="29" max="29" width="5.140625" style="3" customWidth="1"/>
    <col min="30" max="31" width="5.421875" style="3" customWidth="1"/>
    <col min="32" max="32" width="4.8515625" style="1" customWidth="1"/>
    <col min="33" max="33" width="6.00390625" style="1" customWidth="1"/>
    <col min="34" max="16384" width="4.8515625" style="1" customWidth="1"/>
  </cols>
  <sheetData>
    <row r="2" spans="3:33" s="4" customFormat="1" ht="10.5">
      <c r="C2" s="5"/>
      <c r="D2" s="5" t="s">
        <v>51</v>
      </c>
      <c r="E2" s="5" t="s">
        <v>38</v>
      </c>
      <c r="F2" s="5" t="s">
        <v>38</v>
      </c>
      <c r="G2" s="5" t="s">
        <v>37</v>
      </c>
      <c r="H2" s="5" t="s">
        <v>39</v>
      </c>
      <c r="I2" s="5" t="s">
        <v>37</v>
      </c>
      <c r="J2" s="5" t="s">
        <v>37</v>
      </c>
      <c r="K2" s="5" t="s">
        <v>39</v>
      </c>
      <c r="L2" s="5" t="s">
        <v>37</v>
      </c>
      <c r="M2" s="5" t="s">
        <v>37</v>
      </c>
      <c r="N2" s="5" t="s">
        <v>37</v>
      </c>
      <c r="O2" s="5" t="s">
        <v>37</v>
      </c>
      <c r="P2" s="5"/>
      <c r="Q2" s="5"/>
      <c r="R2" s="5"/>
      <c r="S2" s="5" t="s">
        <v>39</v>
      </c>
      <c r="T2" s="5" t="s">
        <v>37</v>
      </c>
      <c r="U2" s="5" t="s">
        <v>37</v>
      </c>
      <c r="V2" s="5" t="s">
        <v>37</v>
      </c>
      <c r="W2" s="5" t="s">
        <v>37</v>
      </c>
      <c r="X2" s="5" t="s">
        <v>37</v>
      </c>
      <c r="Y2" s="5" t="s">
        <v>37</v>
      </c>
      <c r="Z2" s="5" t="s">
        <v>39</v>
      </c>
      <c r="AA2" s="5" t="s">
        <v>37</v>
      </c>
      <c r="AB2" s="5" t="s">
        <v>39</v>
      </c>
      <c r="AC2" s="5" t="s">
        <v>37</v>
      </c>
      <c r="AD2" s="5" t="s">
        <v>41</v>
      </c>
      <c r="AE2" s="5" t="s">
        <v>43</v>
      </c>
      <c r="AF2" s="5"/>
      <c r="AG2" s="5"/>
    </row>
    <row r="3" spans="1:31" s="2" customFormat="1" ht="12">
      <c r="A3" s="2" t="s">
        <v>0</v>
      </c>
      <c r="C3" s="2" t="s">
        <v>11</v>
      </c>
      <c r="D3" s="2" t="s">
        <v>45</v>
      </c>
      <c r="E3" s="2" t="s">
        <v>47</v>
      </c>
      <c r="F3" s="2" t="s">
        <v>10</v>
      </c>
      <c r="G3" s="2" t="s">
        <v>20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9</v>
      </c>
      <c r="M3" s="2" t="s">
        <v>7</v>
      </c>
      <c r="N3" s="2" t="s">
        <v>8</v>
      </c>
      <c r="O3" s="2" t="s">
        <v>16</v>
      </c>
      <c r="P3" s="2" t="s">
        <v>17</v>
      </c>
      <c r="Q3" s="2" t="s">
        <v>18</v>
      </c>
      <c r="R3" s="2" t="s">
        <v>19</v>
      </c>
      <c r="S3" s="11" t="s">
        <v>59</v>
      </c>
      <c r="T3" s="2" t="s">
        <v>28</v>
      </c>
      <c r="U3" s="2" t="s">
        <v>15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29</v>
      </c>
      <c r="AD3" s="2" t="s">
        <v>30</v>
      </c>
      <c r="AE3" s="2" t="s">
        <v>42</v>
      </c>
    </row>
    <row r="5" spans="1:31" ht="12">
      <c r="A5" s="1" t="s">
        <v>55</v>
      </c>
      <c r="B5" s="1" t="s">
        <v>71</v>
      </c>
      <c r="C5" s="3">
        <v>50</v>
      </c>
      <c r="D5" s="3">
        <f>0.5*506</f>
        <v>253</v>
      </c>
      <c r="E5" s="3">
        <v>0</v>
      </c>
      <c r="F5" s="3">
        <f>0.5*26</f>
        <v>13</v>
      </c>
      <c r="G5" s="5">
        <f>0.5*22813</f>
        <v>11406.5</v>
      </c>
      <c r="H5" s="3">
        <v>0</v>
      </c>
      <c r="I5" s="3">
        <v>0</v>
      </c>
      <c r="J5" s="3">
        <f>0.5*0.3</f>
        <v>0.15</v>
      </c>
      <c r="K5" s="3">
        <f>0.5*4.3</f>
        <v>2.15</v>
      </c>
      <c r="L5" s="3">
        <f>0.5*0.6</f>
        <v>0.3</v>
      </c>
      <c r="M5" s="3">
        <f>0.5*1.64</f>
        <v>0.82</v>
      </c>
      <c r="N5" s="3">
        <f>0.5*0.16</f>
        <v>0.08</v>
      </c>
      <c r="O5" s="3" t="s">
        <v>40</v>
      </c>
      <c r="P5" s="3" t="s">
        <v>40</v>
      </c>
      <c r="Q5" s="3" t="s">
        <v>40</v>
      </c>
      <c r="R5" s="3">
        <v>0</v>
      </c>
      <c r="S5" s="3">
        <f>0.5*87</f>
        <v>43.5</v>
      </c>
      <c r="T5" s="3">
        <f>0.5*651</f>
        <v>325.5</v>
      </c>
      <c r="U5" s="3">
        <f>0.5*813</f>
        <v>406.5</v>
      </c>
      <c r="V5" s="3">
        <f>0.5*392</f>
        <v>196</v>
      </c>
      <c r="W5" s="3">
        <f>0.5*255</f>
        <v>127.5</v>
      </c>
      <c r="X5" s="3">
        <f>0.5*642</f>
        <v>321</v>
      </c>
      <c r="Y5" s="3">
        <f>0.5*5.7</f>
        <v>2.85</v>
      </c>
      <c r="Z5" s="3">
        <v>0</v>
      </c>
      <c r="AA5" s="3">
        <f>0.5*4.3</f>
        <v>2.15</v>
      </c>
      <c r="AB5" s="3">
        <f>0.5*2.8</f>
        <v>1.4</v>
      </c>
      <c r="AC5" s="3" t="s">
        <v>40</v>
      </c>
      <c r="AD5" s="3" t="s">
        <v>40</v>
      </c>
      <c r="AE5" s="3" t="s">
        <v>40</v>
      </c>
    </row>
    <row r="6" spans="1:7" ht="12">
      <c r="A6" s="1" t="s">
        <v>72</v>
      </c>
      <c r="B6" s="1" t="s">
        <v>71</v>
      </c>
      <c r="C6" s="3">
        <v>50</v>
      </c>
      <c r="G6" s="5"/>
    </row>
    <row r="7" spans="1:31" ht="12">
      <c r="A7" s="1" t="s">
        <v>1</v>
      </c>
      <c r="B7" s="1" t="s">
        <v>36</v>
      </c>
      <c r="C7" s="3">
        <v>150</v>
      </c>
      <c r="D7" s="3">
        <f>1.5*87</f>
        <v>130.5</v>
      </c>
      <c r="E7" s="7">
        <f>13.5*1.5</f>
        <v>20.25</v>
      </c>
      <c r="F7" s="3">
        <f>1.5*1.8</f>
        <v>2.7</v>
      </c>
      <c r="G7" s="3">
        <f>1.5*20</f>
        <v>30</v>
      </c>
      <c r="H7" s="3">
        <f>1.5*1.7</f>
        <v>2.55</v>
      </c>
      <c r="I7" s="3">
        <f>1.5*0</f>
        <v>0</v>
      </c>
      <c r="J7" s="3">
        <f>1.5*0.2</f>
        <v>0.30000000000000004</v>
      </c>
      <c r="K7" s="3">
        <f>1.5*0.5</f>
        <v>0.75</v>
      </c>
      <c r="L7" s="3">
        <f>1.5*10</f>
        <v>15</v>
      </c>
      <c r="M7" s="3">
        <v>0.07</v>
      </c>
      <c r="N7" s="3">
        <f>1.5*0.06</f>
        <v>0.09</v>
      </c>
      <c r="O7" s="3">
        <f>1.5*0.9</f>
        <v>1.35</v>
      </c>
      <c r="P7" s="3" t="s">
        <v>40</v>
      </c>
      <c r="Q7" s="3" t="s">
        <v>40</v>
      </c>
      <c r="R7" s="3">
        <v>0</v>
      </c>
      <c r="S7" s="3">
        <f>1.5*12.5</f>
        <v>18.75</v>
      </c>
      <c r="T7" s="3">
        <f>1.5*30</f>
        <v>45</v>
      </c>
      <c r="U7" s="3">
        <f>1.5*360</f>
        <v>540</v>
      </c>
      <c r="V7" s="3">
        <f>1.5*33</f>
        <v>49.5</v>
      </c>
      <c r="W7" s="3">
        <f>1.5*7</f>
        <v>10.5</v>
      </c>
      <c r="X7" s="3">
        <f>1.5*26</f>
        <v>39</v>
      </c>
      <c r="Y7" s="3">
        <f>1.5*0.4</f>
        <v>0.6000000000000001</v>
      </c>
      <c r="Z7" s="3">
        <f>1.5*1</f>
        <v>1.5</v>
      </c>
      <c r="AA7" s="3">
        <f>1.5*0.2</f>
        <v>0.30000000000000004</v>
      </c>
      <c r="AB7" s="3">
        <f>1.5*1</f>
        <v>1.5</v>
      </c>
      <c r="AC7" s="3" t="s">
        <v>40</v>
      </c>
      <c r="AD7" s="3" t="s">
        <v>40</v>
      </c>
      <c r="AE7" s="3" t="s">
        <v>40</v>
      </c>
    </row>
    <row r="8" spans="1:31" ht="12">
      <c r="A8" s="1" t="s">
        <v>2</v>
      </c>
      <c r="B8" s="1" t="s">
        <v>31</v>
      </c>
      <c r="C8" s="3">
        <v>40</v>
      </c>
      <c r="D8" s="7">
        <f>40/100*216</f>
        <v>86.4</v>
      </c>
      <c r="E8" s="3">
        <f>40/100*42</f>
        <v>16.8</v>
      </c>
      <c r="F8" s="3">
        <f>40/100*8</f>
        <v>3.2</v>
      </c>
      <c r="G8" s="3">
        <f>40/100*12</f>
        <v>4.800000000000001</v>
      </c>
      <c r="H8" s="3">
        <f>40/100*4.6</f>
        <v>1.8399999999999999</v>
      </c>
      <c r="I8" s="3">
        <f>40/100*0</f>
        <v>0</v>
      </c>
      <c r="J8" s="3">
        <f>40/100*2.9</f>
        <v>1.16</v>
      </c>
      <c r="K8" s="3">
        <f>40/100*24.5</f>
        <v>9.8</v>
      </c>
      <c r="L8" s="3">
        <f>40/100*4.8</f>
        <v>1.92</v>
      </c>
      <c r="M8" s="3">
        <f>40/100*0.05</f>
        <v>0.020000000000000004</v>
      </c>
      <c r="N8" s="3">
        <f>40/100*0.1</f>
        <v>0.04000000000000001</v>
      </c>
      <c r="O8" s="3">
        <f>40/100*3.2</f>
        <v>1.2800000000000002</v>
      </c>
      <c r="P8" s="3" t="s">
        <v>40</v>
      </c>
      <c r="Q8" s="3" t="s">
        <v>40</v>
      </c>
      <c r="R8" s="3" t="s">
        <v>40</v>
      </c>
      <c r="S8" s="3">
        <f>40/100*14.5</f>
        <v>5.800000000000001</v>
      </c>
      <c r="T8" s="3">
        <f>40/100*265</f>
        <v>106</v>
      </c>
      <c r="U8" s="3">
        <f>40/100*766</f>
        <v>306.40000000000003</v>
      </c>
      <c r="V8" s="3">
        <f>40/100*46</f>
        <v>18.400000000000002</v>
      </c>
      <c r="W8" s="3">
        <f>40/100*57</f>
        <v>22.8</v>
      </c>
      <c r="X8" s="3">
        <f>40/100*72</f>
        <v>28.8</v>
      </c>
      <c r="Y8" s="3">
        <f>40/100*1.6</f>
        <v>0.6400000000000001</v>
      </c>
      <c r="Z8" s="3">
        <v>0</v>
      </c>
      <c r="AA8" s="3">
        <f>40/100*2.2</f>
        <v>0.8800000000000001</v>
      </c>
      <c r="AB8" s="3">
        <f>40/100*0.3</f>
        <v>0.12</v>
      </c>
      <c r="AC8" s="3" t="s">
        <v>40</v>
      </c>
      <c r="AD8" s="3" t="s">
        <v>40</v>
      </c>
      <c r="AE8" s="3" t="s">
        <v>40</v>
      </c>
    </row>
    <row r="9" spans="1:31" ht="12">
      <c r="A9" s="1" t="s">
        <v>3</v>
      </c>
      <c r="B9" s="1" t="s">
        <v>31</v>
      </c>
      <c r="C9" s="3">
        <v>20</v>
      </c>
      <c r="D9" s="3">
        <f>20/100*220</f>
        <v>44</v>
      </c>
      <c r="E9" s="3">
        <f>20/100*43</f>
        <v>8.6</v>
      </c>
      <c r="F9" s="3">
        <f>20/100*7.3</f>
        <v>1.46</v>
      </c>
      <c r="G9" s="3">
        <f>20/100*97</f>
        <v>19.400000000000002</v>
      </c>
      <c r="H9" s="3">
        <f>20/100*234</f>
        <v>46.800000000000004</v>
      </c>
      <c r="I9" s="3">
        <f>20/100*0</f>
        <v>0</v>
      </c>
      <c r="J9" s="3">
        <f>20/100*6.2</f>
        <v>1.2400000000000002</v>
      </c>
      <c r="K9" s="3">
        <f>20/100*11.55</f>
        <v>2.31</v>
      </c>
      <c r="L9" s="3">
        <f>20/100*1</f>
        <v>0.2</v>
      </c>
      <c r="M9" s="3">
        <f>20/100*0.01</f>
        <v>0.002</v>
      </c>
      <c r="N9" s="3">
        <f>20/100*0.1</f>
        <v>0.020000000000000004</v>
      </c>
      <c r="O9" s="3">
        <f>20/100*5.8</f>
        <v>1.16</v>
      </c>
      <c r="R9" s="3">
        <v>0</v>
      </c>
      <c r="S9" s="3">
        <f>20/100*14</f>
        <v>2.8000000000000003</v>
      </c>
      <c r="T9" s="3">
        <f>20/100*3629</f>
        <v>725.8000000000001</v>
      </c>
      <c r="U9" s="3">
        <f>20/100*507</f>
        <v>101.4</v>
      </c>
      <c r="V9" s="3">
        <f>20/100*28</f>
        <v>5.6000000000000005</v>
      </c>
      <c r="W9" s="3">
        <f>20/100*98</f>
        <v>19.6</v>
      </c>
      <c r="X9" s="3">
        <f>20/100*35</f>
        <v>7</v>
      </c>
      <c r="Y9" s="3">
        <f>20/100*1.4</f>
        <v>0.27999999999999997</v>
      </c>
      <c r="Z9" s="3">
        <f>20/100*0</f>
        <v>0</v>
      </c>
      <c r="AA9" s="3">
        <f>20/100*1</f>
        <v>0.2</v>
      </c>
      <c r="AB9" s="3">
        <f>20/100*0.5</f>
        <v>0.1</v>
      </c>
      <c r="AC9" s="3" t="s">
        <v>40</v>
      </c>
      <c r="AD9" s="3" t="s">
        <v>40</v>
      </c>
      <c r="AE9" s="3" t="s">
        <v>40</v>
      </c>
    </row>
    <row r="10" spans="1:31" ht="12">
      <c r="A10" s="1" t="s">
        <v>46</v>
      </c>
      <c r="B10" s="1" t="s">
        <v>32</v>
      </c>
      <c r="C10" s="3">
        <v>50</v>
      </c>
      <c r="D10" s="7">
        <f>0.3*47</f>
        <v>14.1</v>
      </c>
      <c r="E10" s="3">
        <f>8.2*0.3</f>
        <v>2.4599999999999995</v>
      </c>
      <c r="F10" s="3">
        <f>0.3*8.6</f>
        <v>2.5799999999999996</v>
      </c>
      <c r="G10" s="3">
        <f>0.3*18</f>
        <v>5.3999999999999995</v>
      </c>
      <c r="H10" s="3">
        <f>0.3*15</f>
        <v>4.5</v>
      </c>
      <c r="I10" s="3">
        <v>0</v>
      </c>
      <c r="J10" s="3">
        <f>0.3*1.8</f>
        <v>0.54</v>
      </c>
      <c r="K10" s="3">
        <f>0.3*38</f>
        <v>11.4</v>
      </c>
      <c r="L10" s="3">
        <f>0.3*0</f>
        <v>0</v>
      </c>
      <c r="M10" s="3">
        <f>0.3*0.06</f>
        <v>0.018</v>
      </c>
      <c r="N10" s="3">
        <f>0.3*0.34</f>
        <v>0.10200000000000001</v>
      </c>
      <c r="O10" s="3">
        <f>0.3*1.2</f>
        <v>0.36</v>
      </c>
      <c r="P10" s="3">
        <f>0.3*0.02</f>
        <v>0.006</v>
      </c>
      <c r="Q10" s="3">
        <v>0</v>
      </c>
      <c r="R10" s="3">
        <v>0</v>
      </c>
      <c r="S10" s="3">
        <f>0.3*3</f>
        <v>0.8999999999999999</v>
      </c>
      <c r="T10" s="3">
        <f>0.3*344</f>
        <v>103.2</v>
      </c>
      <c r="U10" s="3">
        <f>0.3*890</f>
        <v>267</v>
      </c>
      <c r="V10" s="3">
        <f>0.3*52</f>
        <v>15.6</v>
      </c>
      <c r="W10" s="3">
        <f>0.3*67</f>
        <v>20.099999999999998</v>
      </c>
      <c r="X10" s="3">
        <f>0.3*90</f>
        <v>27</v>
      </c>
      <c r="Y10" s="3">
        <f>0.3*2</f>
        <v>0.6</v>
      </c>
      <c r="Z10" s="3">
        <f>0.3*3</f>
        <v>0.8999999999999999</v>
      </c>
      <c r="AA10" s="3">
        <f>0.3*0.5</f>
        <v>0.15</v>
      </c>
      <c r="AB10" s="3">
        <f>0.3*0.3</f>
        <v>0.09</v>
      </c>
      <c r="AC10" s="3">
        <f>0.3*550</f>
        <v>165</v>
      </c>
      <c r="AD10" s="3">
        <f>0.3*7300</f>
        <v>2190</v>
      </c>
      <c r="AE10" s="6">
        <f>0.3*1.75</f>
        <v>0.525</v>
      </c>
    </row>
    <row r="11" spans="4:31" ht="12">
      <c r="D11" s="7"/>
      <c r="AE11" s="6"/>
    </row>
    <row r="13" spans="1:31" ht="12">
      <c r="A13" s="1" t="s">
        <v>4</v>
      </c>
      <c r="B13" s="1" t="s">
        <v>48</v>
      </c>
      <c r="C13" s="3">
        <v>150</v>
      </c>
      <c r="D13" s="3">
        <f>1.5*44</f>
        <v>66</v>
      </c>
      <c r="E13" s="3">
        <v>9.6</v>
      </c>
      <c r="F13" s="3">
        <f>1.5*3.3</f>
        <v>4.949999999999999</v>
      </c>
      <c r="G13" s="7">
        <f>1.5*117</f>
        <v>175.5</v>
      </c>
      <c r="H13" s="3">
        <f>1.5*3.9</f>
        <v>5.85</v>
      </c>
      <c r="I13" s="3">
        <v>0</v>
      </c>
      <c r="J13" s="3">
        <f>1.5*2.5</f>
        <v>3.75</v>
      </c>
      <c r="K13" s="3">
        <f>1.5*9</f>
        <v>13.5</v>
      </c>
      <c r="L13" s="3">
        <f>1.5*15</f>
        <v>22.5</v>
      </c>
      <c r="M13" s="3">
        <f>1.5*0.04</f>
        <v>0.06</v>
      </c>
      <c r="N13" s="3">
        <f>1.5*0.07</f>
        <v>0.10500000000000001</v>
      </c>
      <c r="O13" s="3">
        <f>1.5*0.04</f>
        <v>0.06</v>
      </c>
      <c r="P13" s="3" t="s">
        <v>40</v>
      </c>
      <c r="Q13" s="3" t="s">
        <v>40</v>
      </c>
      <c r="R13" s="3">
        <v>0</v>
      </c>
      <c r="S13" s="3">
        <f>1.5*16</f>
        <v>24</v>
      </c>
      <c r="T13" s="3">
        <f>1.5*310</f>
        <v>465</v>
      </c>
      <c r="U13" s="3">
        <f>1.5*110</f>
        <v>165</v>
      </c>
      <c r="V13" s="3">
        <f>1.5*9</f>
        <v>13.5</v>
      </c>
      <c r="W13" s="3">
        <f>1.5*19</f>
        <v>28.5</v>
      </c>
      <c r="X13" s="3">
        <f>1.5*20</f>
        <v>30</v>
      </c>
      <c r="Y13" s="3">
        <f>1.5*0.6</f>
        <v>0.8999999999999999</v>
      </c>
      <c r="Z13" s="3">
        <f>1.5*0.1</f>
        <v>0.15000000000000002</v>
      </c>
      <c r="AA13" s="3">
        <f>1.5*0.2</f>
        <v>0.30000000000000004</v>
      </c>
      <c r="AB13" s="3">
        <f>1.5*0.1</f>
        <v>0.15000000000000002</v>
      </c>
      <c r="AC13" s="3">
        <f>1.5*660</f>
        <v>990</v>
      </c>
      <c r="AD13" s="3">
        <f>1.5*6552</f>
        <v>9828</v>
      </c>
      <c r="AE13" s="6">
        <v>8.23</v>
      </c>
    </row>
    <row r="14" spans="1:31" ht="12">
      <c r="A14" s="1" t="s">
        <v>5</v>
      </c>
      <c r="B14" s="1" t="s">
        <v>34</v>
      </c>
      <c r="C14" s="3">
        <v>50</v>
      </c>
      <c r="D14" s="3">
        <f>0.5*162</f>
        <v>81</v>
      </c>
      <c r="E14" s="3">
        <v>3.4</v>
      </c>
      <c r="F14" s="3">
        <f>0.5*2.6</f>
        <v>1.3</v>
      </c>
      <c r="G14" s="3">
        <f>0.5*143</f>
        <v>71.5</v>
      </c>
      <c r="H14" s="3">
        <f>0.5*0.8</f>
        <v>0.4</v>
      </c>
      <c r="I14" s="3">
        <f>0.5*0</f>
        <v>0</v>
      </c>
      <c r="J14" s="3">
        <f>0.5*1.5</f>
        <v>0.75</v>
      </c>
      <c r="K14" s="3">
        <f>0.5*9</f>
        <v>4.5</v>
      </c>
      <c r="L14" s="3">
        <f>0.5*7.5</f>
        <v>3.75</v>
      </c>
      <c r="M14" s="3">
        <f>0.5*0.05</f>
        <v>0.025</v>
      </c>
      <c r="N14" s="3">
        <f>0.5*0.07</f>
        <v>0.035</v>
      </c>
      <c r="O14" s="3" t="s">
        <v>40</v>
      </c>
      <c r="P14" s="3" t="s">
        <v>40</v>
      </c>
      <c r="Q14" s="3" t="s">
        <v>40</v>
      </c>
      <c r="R14" s="3">
        <v>0</v>
      </c>
      <c r="S14" s="3">
        <f>0.5*0.2</f>
        <v>0.1</v>
      </c>
      <c r="T14" s="3">
        <f>0.5*31</f>
        <v>15.5</v>
      </c>
      <c r="U14" s="3">
        <f>0.5*80</f>
        <v>40</v>
      </c>
      <c r="V14" s="3">
        <f>0.5*9</f>
        <v>4.5</v>
      </c>
      <c r="W14" s="3">
        <f>0.5*22</f>
        <v>11</v>
      </c>
      <c r="X14" s="3">
        <f>0.5*17</f>
        <v>8.5</v>
      </c>
      <c r="Y14" s="3">
        <f>0.5*0.4</f>
        <v>0.2</v>
      </c>
      <c r="Z14" s="3">
        <f>0.5*1</f>
        <v>0.5</v>
      </c>
      <c r="AA14" s="3">
        <f>0.5*0.2</f>
        <v>0.1</v>
      </c>
      <c r="AB14" s="3">
        <f>0.5*0.1</f>
        <v>0.05</v>
      </c>
      <c r="AC14" s="3">
        <f>0.5*2700</f>
        <v>1350</v>
      </c>
      <c r="AD14" s="3">
        <f>0.5*162</f>
        <v>81</v>
      </c>
      <c r="AE14" s="6">
        <f>0.5*5.03</f>
        <v>2.515</v>
      </c>
    </row>
    <row r="15" spans="1:31" ht="12">
      <c r="A15" s="1" t="s">
        <v>6</v>
      </c>
      <c r="B15" s="1" t="s">
        <v>34</v>
      </c>
      <c r="C15" s="3">
        <v>60</v>
      </c>
      <c r="D15" s="7">
        <f>0.6*33</f>
        <v>19.8</v>
      </c>
      <c r="E15" s="3">
        <f>0.6*3.5</f>
        <v>2.1</v>
      </c>
      <c r="F15" s="3">
        <f>0.6*3.3</f>
        <v>1.9799999999999998</v>
      </c>
      <c r="G15" s="3">
        <f>0.6*143</f>
        <v>85.8</v>
      </c>
      <c r="H15" s="3">
        <f>0.6*1.8</f>
        <v>1.08</v>
      </c>
      <c r="I15" s="3">
        <f>0.6*0</f>
        <v>0</v>
      </c>
      <c r="J15" s="3">
        <f>0.6*0.9</f>
        <v>0.54</v>
      </c>
      <c r="K15" s="3">
        <f>0.6*9</f>
        <v>5.3999999999999995</v>
      </c>
      <c r="L15" s="3">
        <f>0.6*20</f>
        <v>12</v>
      </c>
      <c r="M15" s="3">
        <f>0.6*0.05</f>
        <v>0.03</v>
      </c>
      <c r="N15" s="3">
        <f>0.6*0.07</f>
        <v>0.042</v>
      </c>
      <c r="O15" s="3">
        <v>0</v>
      </c>
      <c r="P15" s="3">
        <v>0</v>
      </c>
      <c r="Q15" s="3">
        <v>0</v>
      </c>
      <c r="R15" s="3">
        <v>0</v>
      </c>
      <c r="S15" s="3">
        <f>0.6*2</f>
        <v>1.2</v>
      </c>
      <c r="T15" s="3">
        <f>0.6*50</f>
        <v>30</v>
      </c>
      <c r="U15" s="3">
        <f>0.6*25</f>
        <v>15</v>
      </c>
      <c r="V15" s="3">
        <f>0.6*8</f>
        <v>4.8</v>
      </c>
      <c r="W15" s="3">
        <f>0.6*13</f>
        <v>7.8</v>
      </c>
      <c r="X15" s="3">
        <f>0.6*10</f>
        <v>6</v>
      </c>
      <c r="Y15" s="3">
        <f>0.6*0.7</f>
        <v>0.42</v>
      </c>
      <c r="Z15" s="3">
        <f>0.6*1</f>
        <v>0.6</v>
      </c>
      <c r="AA15" s="3">
        <f>0.6*0.2</f>
        <v>0.12</v>
      </c>
      <c r="AB15" s="3">
        <f>0.6*0.1</f>
        <v>0.06</v>
      </c>
      <c r="AC15" s="3">
        <f>0.6*620</f>
        <v>372</v>
      </c>
      <c r="AD15" s="3">
        <f>0.6*9200</f>
        <v>5520</v>
      </c>
      <c r="AE15" s="6">
        <f>0.6*5.03</f>
        <v>3.0180000000000002</v>
      </c>
    </row>
    <row r="16" spans="1:31" ht="12">
      <c r="A16" s="1" t="s">
        <v>70</v>
      </c>
      <c r="B16" s="1" t="s">
        <v>33</v>
      </c>
      <c r="C16" s="3">
        <v>100</v>
      </c>
      <c r="D16" s="7">
        <f>1*64</f>
        <v>64</v>
      </c>
      <c r="E16" s="3">
        <f>1*4.1</f>
        <v>4.1</v>
      </c>
      <c r="F16" s="3">
        <f>1*3.7</f>
        <v>3.7</v>
      </c>
      <c r="G16" s="3">
        <f>1*53</f>
        <v>53</v>
      </c>
      <c r="H16" s="3">
        <f>1*1.1</f>
        <v>1.1</v>
      </c>
      <c r="I16" s="3">
        <f>1*0</f>
        <v>0</v>
      </c>
      <c r="J16" s="3">
        <f>1*0.9</f>
        <v>0.9</v>
      </c>
      <c r="K16" s="3">
        <f>1*10.2</f>
        <v>10.2</v>
      </c>
      <c r="L16" s="3">
        <f>1*38</f>
        <v>38</v>
      </c>
      <c r="M16" s="3">
        <f>1*0.01</f>
        <v>0.01</v>
      </c>
      <c r="N16" s="3">
        <f>1*0.5</f>
        <v>0.5</v>
      </c>
      <c r="O16" s="3">
        <f>1*0.6</f>
        <v>0.6</v>
      </c>
      <c r="P16" s="3">
        <f>1*0.4</f>
        <v>0.4</v>
      </c>
      <c r="Q16" s="3">
        <f>1*0.3</f>
        <v>0.3</v>
      </c>
      <c r="R16" s="3">
        <v>0</v>
      </c>
      <c r="S16" s="3">
        <f>1*33</f>
        <v>33</v>
      </c>
      <c r="T16" s="3">
        <f>1*96</f>
        <v>96</v>
      </c>
      <c r="U16" s="3">
        <f>1*10.2</f>
        <v>10.2</v>
      </c>
      <c r="V16" s="3">
        <f>1*25</f>
        <v>25</v>
      </c>
      <c r="W16" s="3">
        <f>1*35</f>
        <v>35</v>
      </c>
      <c r="X16" s="3">
        <f>1*37</f>
        <v>37</v>
      </c>
      <c r="Y16" s="3">
        <f>1*1.1</f>
        <v>1.1</v>
      </c>
      <c r="Z16" s="3">
        <f>1*1</f>
        <v>1</v>
      </c>
      <c r="AA16" s="3">
        <f>1*0.4</f>
        <v>0.4</v>
      </c>
      <c r="AB16" s="3">
        <f>1*0.1</f>
        <v>0.1</v>
      </c>
      <c r="AC16" s="3">
        <f>1*2990</f>
        <v>2990</v>
      </c>
      <c r="AD16" s="3">
        <f>1*7700</f>
        <v>7700</v>
      </c>
      <c r="AE16" s="6">
        <f>1*6.13</f>
        <v>6.13</v>
      </c>
    </row>
    <row r="17" spans="1:31" ht="12">
      <c r="A17" s="1" t="s">
        <v>52</v>
      </c>
      <c r="B17" s="1" t="s">
        <v>34</v>
      </c>
      <c r="C17" s="3">
        <v>50</v>
      </c>
      <c r="D17" s="7">
        <f>0.5*48</f>
        <v>24</v>
      </c>
      <c r="E17" s="3">
        <f>0.5*7.8</f>
        <v>3.9</v>
      </c>
      <c r="F17" s="3">
        <f>0.5*5.8</f>
        <v>2.9</v>
      </c>
      <c r="G17" s="3">
        <f>0.5*27</f>
        <v>13.5</v>
      </c>
      <c r="H17" s="3">
        <f>0.5*8.2</f>
        <v>4.1</v>
      </c>
      <c r="I17" s="3">
        <f>0.5*0</f>
        <v>0</v>
      </c>
      <c r="J17" s="3">
        <f>0.5*2.2</f>
        <v>1.1</v>
      </c>
      <c r="K17" s="3">
        <f>0.5*30</f>
        <v>15</v>
      </c>
      <c r="L17" s="3">
        <f>0.5*120</f>
        <v>60</v>
      </c>
      <c r="M17" s="3">
        <f>0.5*0.05</f>
        <v>0.025</v>
      </c>
      <c r="N17" s="3">
        <f>0.5*0.07</f>
        <v>0.035</v>
      </c>
      <c r="O17" s="3">
        <f>0.5*0.6</f>
        <v>0.3</v>
      </c>
      <c r="P17" s="3">
        <f>0.5*0.5</f>
        <v>0.25</v>
      </c>
      <c r="Q17" s="3">
        <f>0.5*0.06</f>
        <v>0.03</v>
      </c>
      <c r="R17" s="3">
        <v>0</v>
      </c>
      <c r="S17" s="3">
        <f>0.5*12</f>
        <v>6</v>
      </c>
      <c r="T17" s="3">
        <f>0.5*542</f>
        <v>271</v>
      </c>
      <c r="U17" s="3">
        <f>0.5*340</f>
        <v>170</v>
      </c>
      <c r="V17" s="3">
        <f>0.5*24</f>
        <v>12</v>
      </c>
      <c r="W17" s="3">
        <f>0.5*72</f>
        <v>36</v>
      </c>
      <c r="X17" s="3">
        <f>0.5*58</f>
        <v>29</v>
      </c>
      <c r="Y17" s="3">
        <f>0.5*1.2</f>
        <v>0.6</v>
      </c>
      <c r="Z17" s="3">
        <f>0.5*1</f>
        <v>0.5</v>
      </c>
      <c r="AA17" s="3">
        <f>0.5*0.3</f>
        <v>0.15</v>
      </c>
      <c r="AB17" s="3">
        <f>0.5*0.1</f>
        <v>0.05</v>
      </c>
      <c r="AC17" s="3">
        <f>0.5*2500</f>
        <v>1250</v>
      </c>
      <c r="AD17" s="3">
        <f>0.5*7960</f>
        <v>3980</v>
      </c>
      <c r="AE17" s="6">
        <f>0.5*7.35</f>
        <v>3.675</v>
      </c>
    </row>
    <row r="18" spans="1:31" ht="12">
      <c r="A18" s="1" t="s">
        <v>50</v>
      </c>
      <c r="B18" s="1" t="s">
        <v>35</v>
      </c>
      <c r="C18" s="3">
        <v>25</v>
      </c>
      <c r="D18" s="7">
        <f>0.25*90</f>
        <v>22.5</v>
      </c>
      <c r="E18" s="3">
        <f>0.25*6.3</f>
        <v>1.575</v>
      </c>
      <c r="F18" s="3">
        <f>0.25*6</f>
        <v>1.5</v>
      </c>
      <c r="G18" s="3">
        <f>0.25*90</f>
        <v>22.5</v>
      </c>
      <c r="H18" s="3">
        <f>0.25*2.6</f>
        <v>0.65</v>
      </c>
      <c r="I18" s="3">
        <f>0.25*0</f>
        <v>0</v>
      </c>
      <c r="J18" s="3">
        <f>0.25*3</f>
        <v>0.75</v>
      </c>
      <c r="K18" s="3">
        <f>0.25*11</f>
        <v>2.75</v>
      </c>
      <c r="L18" s="3">
        <f>0.25*200</f>
        <v>50</v>
      </c>
      <c r="M18" s="3">
        <f>0.25*0.18</f>
        <v>0.045</v>
      </c>
      <c r="N18" s="3">
        <f>0.25*0.07</f>
        <v>0.0175</v>
      </c>
      <c r="O18" s="3">
        <v>0</v>
      </c>
      <c r="P18" s="3">
        <v>0</v>
      </c>
      <c r="Q18" s="3">
        <f>0.25*1</f>
        <v>0.25</v>
      </c>
      <c r="R18" s="3">
        <f>0.25*1</f>
        <v>0.25</v>
      </c>
      <c r="S18" s="3">
        <f>0.25*10</f>
        <v>2.5</v>
      </c>
      <c r="T18" s="3">
        <f>0.25*150</f>
        <v>37.5</v>
      </c>
      <c r="U18" s="3">
        <f>0.25*133</f>
        <v>33.25</v>
      </c>
      <c r="V18" s="3">
        <f>0.25*30</f>
        <v>7.5</v>
      </c>
      <c r="W18" s="3">
        <f>0.25*42</f>
        <v>10.5</v>
      </c>
      <c r="X18" s="3">
        <f>0.25*8.6</f>
        <v>2.15</v>
      </c>
      <c r="Y18" s="3">
        <f>0.25*0.4</f>
        <v>0.1</v>
      </c>
      <c r="Z18" s="3">
        <f>0.25*0</f>
        <v>0</v>
      </c>
      <c r="AA18" s="3">
        <v>0</v>
      </c>
      <c r="AB18" s="3">
        <f>0.25*0.1</f>
        <v>0.025</v>
      </c>
      <c r="AC18" s="3">
        <f>0.25*35</f>
        <v>8.75</v>
      </c>
      <c r="AD18" s="3">
        <f>0.25*70000</f>
        <v>17500</v>
      </c>
      <c r="AE18" s="3">
        <v>5.3</v>
      </c>
    </row>
    <row r="19" spans="1:31" ht="12">
      <c r="A19" s="1" t="s">
        <v>49</v>
      </c>
      <c r="B19" s="1" t="s">
        <v>34</v>
      </c>
      <c r="C19" s="3">
        <v>50</v>
      </c>
      <c r="D19" s="7">
        <f>0.5*50</f>
        <v>25</v>
      </c>
      <c r="E19" s="3" t="s">
        <v>40</v>
      </c>
      <c r="F19" s="3" t="s">
        <v>40</v>
      </c>
      <c r="G19" s="3" t="s">
        <v>40</v>
      </c>
      <c r="H19" s="3" t="s">
        <v>40</v>
      </c>
      <c r="I19" s="3">
        <v>0</v>
      </c>
      <c r="J19" s="3">
        <v>2.6</v>
      </c>
      <c r="K19" s="3">
        <v>0.7</v>
      </c>
      <c r="L19" s="3">
        <v>25</v>
      </c>
      <c r="M19" s="3">
        <v>0.5</v>
      </c>
      <c r="N19" s="3">
        <v>0.3</v>
      </c>
      <c r="O19" s="3">
        <v>0</v>
      </c>
      <c r="P19" s="3">
        <v>0</v>
      </c>
      <c r="Q19" s="3">
        <v>1</v>
      </c>
      <c r="R19" s="3">
        <v>0</v>
      </c>
      <c r="S19" s="3" t="s">
        <v>40</v>
      </c>
      <c r="T19" s="3" t="s">
        <v>40</v>
      </c>
      <c r="U19" s="3">
        <v>101</v>
      </c>
      <c r="V19" s="3">
        <v>7</v>
      </c>
      <c r="W19" s="3">
        <v>15</v>
      </c>
      <c r="X19" s="3">
        <v>12</v>
      </c>
      <c r="Y19" s="3">
        <v>0.2</v>
      </c>
      <c r="Z19" s="3">
        <f>0.5*1</f>
        <v>0.5</v>
      </c>
      <c r="AA19" s="3">
        <v>0</v>
      </c>
      <c r="AB19" s="3" t="s">
        <v>40</v>
      </c>
      <c r="AC19" s="3">
        <v>2010</v>
      </c>
      <c r="AD19" s="3">
        <v>16062</v>
      </c>
      <c r="AE19" s="3" t="s">
        <v>40</v>
      </c>
    </row>
    <row r="20" spans="1:31" ht="12">
      <c r="A20" s="1" t="s">
        <v>54</v>
      </c>
      <c r="B20" s="1" t="s">
        <v>34</v>
      </c>
      <c r="C20" s="7">
        <v>50</v>
      </c>
      <c r="D20" s="7">
        <f>0.5*54</f>
        <v>27</v>
      </c>
      <c r="E20" s="6">
        <f>0.5*7.8</f>
        <v>3.9</v>
      </c>
      <c r="F20" s="6">
        <f>0.5*6.3</f>
        <v>3.15</v>
      </c>
      <c r="G20" s="6">
        <f>0.5*75</f>
        <v>37.5</v>
      </c>
      <c r="H20" s="6">
        <f>0.5*14.4</f>
        <v>7.2</v>
      </c>
      <c r="I20" s="6">
        <f>0.5*0</f>
        <v>0</v>
      </c>
      <c r="J20" s="6">
        <f>0.5*3</f>
        <v>1.5</v>
      </c>
      <c r="K20" s="6">
        <f>0.5*9</f>
        <v>4.5</v>
      </c>
      <c r="L20" s="6">
        <f>0.5*100</f>
        <v>50</v>
      </c>
      <c r="M20" s="10">
        <f>0.5*0.06</f>
        <v>0.03</v>
      </c>
      <c r="N20" s="10">
        <f>0.5*0.07</f>
        <v>0.035</v>
      </c>
      <c r="O20" s="10">
        <f>0.5*1.3</f>
        <v>0.65</v>
      </c>
      <c r="P20" s="10">
        <v>0</v>
      </c>
      <c r="Q20" s="10">
        <v>0.05</v>
      </c>
      <c r="R20" s="10">
        <f>0.5*1</f>
        <v>0.5</v>
      </c>
      <c r="S20" s="6">
        <f>0.5*30</f>
        <v>15</v>
      </c>
      <c r="T20" s="6">
        <f>0.5*241</f>
        <v>120.5</v>
      </c>
      <c r="U20" s="6">
        <f>0.5*170</f>
        <v>85</v>
      </c>
      <c r="V20" s="6">
        <f>0.5*29</f>
        <v>14.5</v>
      </c>
      <c r="W20" s="6">
        <f>0.5*16</f>
        <v>8</v>
      </c>
      <c r="X20" s="6">
        <f>0.5*36</f>
        <v>18</v>
      </c>
      <c r="Y20" s="6">
        <f>0.5*0.7</f>
        <v>0.35</v>
      </c>
      <c r="Z20" s="6">
        <f>0.5*1</f>
        <v>0.5</v>
      </c>
      <c r="AA20" s="6">
        <f>0.5*0.6</f>
        <v>0.3</v>
      </c>
      <c r="AB20" s="6">
        <f>0.5*0.1</f>
        <v>0.05</v>
      </c>
      <c r="AC20" s="7">
        <f>0.5*1700</f>
        <v>850</v>
      </c>
      <c r="AD20" s="7">
        <f>0.5*2000</f>
        <v>1000</v>
      </c>
      <c r="AE20" s="6">
        <f>0.5*3.1</f>
        <v>1.55</v>
      </c>
    </row>
    <row r="21" spans="1:25" ht="12">
      <c r="A21" s="1" t="s">
        <v>60</v>
      </c>
      <c r="B21" s="1" t="s">
        <v>61</v>
      </c>
      <c r="C21" s="3">
        <v>200</v>
      </c>
      <c r="S21" s="7"/>
      <c r="T21" s="7"/>
      <c r="U21" s="7"/>
      <c r="V21" s="7"/>
      <c r="W21" s="7"/>
      <c r="X21" s="7"/>
      <c r="Y21" s="7"/>
    </row>
    <row r="22" spans="1:25" ht="12">
      <c r="A22" s="3" t="s">
        <v>53</v>
      </c>
      <c r="C22" s="3">
        <f>SUM(C13:C21)</f>
        <v>735</v>
      </c>
      <c r="S22" s="7"/>
      <c r="T22" s="7"/>
      <c r="U22" s="7"/>
      <c r="V22" s="7"/>
      <c r="W22" s="7"/>
      <c r="X22" s="7"/>
      <c r="Y22" s="7"/>
    </row>
    <row r="23" spans="1:25" ht="12">
      <c r="A23" s="1" t="s">
        <v>62</v>
      </c>
      <c r="B23" s="1" t="s">
        <v>57</v>
      </c>
      <c r="C23" s="3">
        <v>6</v>
      </c>
      <c r="S23" s="7"/>
      <c r="T23" s="7"/>
      <c r="U23" s="7"/>
      <c r="V23" s="7"/>
      <c r="W23" s="7"/>
      <c r="X23" s="7"/>
      <c r="Y23" s="7"/>
    </row>
    <row r="24" spans="1:25" ht="12">
      <c r="A24" s="1" t="s">
        <v>65</v>
      </c>
      <c r="B24" s="1" t="s">
        <v>57</v>
      </c>
      <c r="C24" s="3">
        <v>6</v>
      </c>
      <c r="S24" s="7"/>
      <c r="T24" s="7"/>
      <c r="U24" s="7"/>
      <c r="V24" s="7"/>
      <c r="W24" s="7"/>
      <c r="X24" s="7"/>
      <c r="Y24" s="7"/>
    </row>
    <row r="25" spans="1:25" ht="12">
      <c r="A25" s="1" t="s">
        <v>66</v>
      </c>
      <c r="B25" s="1" t="s">
        <v>57</v>
      </c>
      <c r="C25" s="3">
        <v>6</v>
      </c>
      <c r="S25" s="7"/>
      <c r="T25" s="7"/>
      <c r="U25" s="7"/>
      <c r="V25" s="7"/>
      <c r="W25" s="7"/>
      <c r="X25" s="7"/>
      <c r="Y25" s="7"/>
    </row>
    <row r="26" spans="1:25" ht="12">
      <c r="A26" s="1" t="s">
        <v>67</v>
      </c>
      <c r="B26" s="1" t="s">
        <v>57</v>
      </c>
      <c r="C26" s="3">
        <v>6</v>
      </c>
      <c r="S26" s="7"/>
      <c r="T26" s="7"/>
      <c r="U26" s="7"/>
      <c r="V26" s="7"/>
      <c r="W26" s="7"/>
      <c r="X26" s="7"/>
      <c r="Y26" s="7"/>
    </row>
    <row r="27" spans="1:25" ht="12">
      <c r="A27" s="1" t="s">
        <v>68</v>
      </c>
      <c r="C27" s="3">
        <v>10</v>
      </c>
      <c r="S27" s="7"/>
      <c r="T27" s="7"/>
      <c r="U27" s="7"/>
      <c r="V27" s="7"/>
      <c r="W27" s="7"/>
      <c r="X27" s="7"/>
      <c r="Y27" s="7"/>
    </row>
    <row r="28" spans="1:25" ht="12">
      <c r="A28" s="1" t="s">
        <v>69</v>
      </c>
      <c r="C28" s="3">
        <v>200</v>
      </c>
      <c r="S28" s="7"/>
      <c r="T28" s="7"/>
      <c r="U28" s="7"/>
      <c r="V28" s="7"/>
      <c r="W28" s="7"/>
      <c r="X28" s="7"/>
      <c r="Y28" s="7"/>
    </row>
    <row r="29" spans="1:25" ht="12">
      <c r="A29" s="1" t="s">
        <v>64</v>
      </c>
      <c r="C29" s="3">
        <v>5</v>
      </c>
      <c r="S29" s="7"/>
      <c r="T29" s="7"/>
      <c r="U29" s="7"/>
      <c r="V29" s="7"/>
      <c r="W29" s="7"/>
      <c r="X29" s="7"/>
      <c r="Y29" s="7"/>
    </row>
    <row r="30" spans="1:25" ht="12">
      <c r="A30" s="1" t="s">
        <v>56</v>
      </c>
      <c r="C30" s="3">
        <v>1</v>
      </c>
      <c r="S30" s="7"/>
      <c r="T30" s="7"/>
      <c r="U30" s="7"/>
      <c r="V30" s="7"/>
      <c r="W30" s="7"/>
      <c r="X30" s="7"/>
      <c r="Y30" s="7"/>
    </row>
    <row r="31" spans="1:25" ht="12">
      <c r="A31" s="1" t="s">
        <v>63</v>
      </c>
      <c r="C31" s="3">
        <v>20</v>
      </c>
      <c r="E31" s="3" t="s">
        <v>58</v>
      </c>
      <c r="S31" s="7"/>
      <c r="T31" s="7"/>
      <c r="U31" s="7"/>
      <c r="V31" s="7"/>
      <c r="W31" s="7"/>
      <c r="X31" s="7"/>
      <c r="Y31" s="7"/>
    </row>
    <row r="32" spans="19:25" ht="12">
      <c r="S32" s="7"/>
      <c r="T32" s="7"/>
      <c r="U32" s="7"/>
      <c r="V32" s="7"/>
      <c r="W32" s="7"/>
      <c r="X32" s="7"/>
      <c r="Y32" s="7"/>
    </row>
    <row r="33" spans="2:31" ht="12">
      <c r="B33" s="8" t="s">
        <v>44</v>
      </c>
      <c r="C33" s="9">
        <f>SUM(C5:C21)</f>
        <v>1095</v>
      </c>
      <c r="D33" s="9">
        <f aca="true" t="shared" si="0" ref="D33:AE33">SUM(D5:D21)</f>
        <v>857.3</v>
      </c>
      <c r="E33" s="9">
        <f t="shared" si="0"/>
        <v>76.68500000000002</v>
      </c>
      <c r="F33" s="9">
        <f t="shared" si="0"/>
        <v>42.419999999999995</v>
      </c>
      <c r="G33" s="9">
        <f t="shared" si="0"/>
        <v>11925.399999999998</v>
      </c>
      <c r="H33" s="9">
        <f t="shared" si="0"/>
        <v>76.07000000000001</v>
      </c>
      <c r="I33" s="9">
        <f t="shared" si="0"/>
        <v>0</v>
      </c>
      <c r="J33" s="9">
        <f t="shared" si="0"/>
        <v>15.28</v>
      </c>
      <c r="K33" s="9">
        <f t="shared" si="0"/>
        <v>82.96000000000001</v>
      </c>
      <c r="L33" s="9">
        <f t="shared" si="0"/>
        <v>278.67</v>
      </c>
      <c r="M33" s="9">
        <f t="shared" si="0"/>
        <v>1.6549999999999998</v>
      </c>
      <c r="N33" s="9">
        <f t="shared" si="0"/>
        <v>1.4015</v>
      </c>
      <c r="O33" s="9">
        <f t="shared" si="0"/>
        <v>5.76</v>
      </c>
      <c r="P33" s="9">
        <f t="shared" si="0"/>
        <v>0.656</v>
      </c>
      <c r="Q33" s="9">
        <f t="shared" si="0"/>
        <v>1.6300000000000001</v>
      </c>
      <c r="R33" s="9">
        <f t="shared" si="0"/>
        <v>0.75</v>
      </c>
      <c r="S33" s="9">
        <f t="shared" si="0"/>
        <v>153.55</v>
      </c>
      <c r="T33" s="9">
        <f t="shared" si="0"/>
        <v>2341</v>
      </c>
      <c r="U33" s="9">
        <f t="shared" si="0"/>
        <v>2240.75</v>
      </c>
      <c r="V33" s="9">
        <f t="shared" si="0"/>
        <v>373.90000000000003</v>
      </c>
      <c r="W33" s="9">
        <f t="shared" si="0"/>
        <v>352.3</v>
      </c>
      <c r="X33" s="9">
        <f t="shared" si="0"/>
        <v>565.4499999999999</v>
      </c>
      <c r="Y33" s="9">
        <f t="shared" si="0"/>
        <v>8.839999999999998</v>
      </c>
      <c r="Z33" s="9">
        <f t="shared" si="0"/>
        <v>6.15</v>
      </c>
      <c r="AA33" s="9">
        <f t="shared" si="0"/>
        <v>5.050000000000001</v>
      </c>
      <c r="AB33" s="9">
        <f t="shared" si="0"/>
        <v>3.6949999999999994</v>
      </c>
      <c r="AC33" s="9">
        <f t="shared" si="0"/>
        <v>9985.75</v>
      </c>
      <c r="AD33" s="9">
        <f t="shared" si="0"/>
        <v>63861</v>
      </c>
      <c r="AE33" s="9">
        <f t="shared" si="0"/>
        <v>30.943000000000005</v>
      </c>
    </row>
    <row r="35" spans="1:2" ht="12">
      <c r="A35" s="12" t="s">
        <v>73</v>
      </c>
      <c r="B35" s="1" t="s">
        <v>81</v>
      </c>
    </row>
    <row r="36" ht="12">
      <c r="B36" s="1" t="s">
        <v>82</v>
      </c>
    </row>
    <row r="38" spans="1:2" ht="12">
      <c r="A38" s="12" t="s">
        <v>74</v>
      </c>
      <c r="B38" s="1" t="s">
        <v>75</v>
      </c>
    </row>
    <row r="40" spans="1:2" ht="12">
      <c r="A40" s="12" t="s">
        <v>76</v>
      </c>
      <c r="B40" s="1" t="s">
        <v>83</v>
      </c>
    </row>
    <row r="42" spans="1:2" ht="12">
      <c r="A42" s="12" t="s">
        <v>77</v>
      </c>
      <c r="B42" s="1" t="s">
        <v>78</v>
      </c>
    </row>
    <row r="44" spans="1:2" ht="12">
      <c r="A44" s="12" t="s">
        <v>79</v>
      </c>
      <c r="B44" s="1" t="s">
        <v>80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Easydoing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Veli-Jussi Jalkanen</cp:lastModifiedBy>
  <dcterms:created xsi:type="dcterms:W3CDTF">2010-04-27T06:17:22Z</dcterms:created>
  <dcterms:modified xsi:type="dcterms:W3CDTF">2014-12-31T09:44:35Z</dcterms:modified>
  <cp:category/>
  <cp:version/>
  <cp:contentType/>
  <cp:contentStatus/>
</cp:coreProperties>
</file>